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76331b881d9f77/Desktop/"/>
    </mc:Choice>
  </mc:AlternateContent>
  <xr:revisionPtr revIDLastSave="0" documentId="14_{1C6A8B82-5FCD-4C38-9A00-E59D8D66D797}" xr6:coauthVersionLast="47" xr6:coauthVersionMax="47" xr10:uidLastSave="{00000000-0000-0000-0000-000000000000}"/>
  <bookViews>
    <workbookView xWindow="28702" yWindow="-98" windowWidth="28066" windowHeight="16395" xr2:uid="{ECFC66F1-BA84-419C-974C-85F439B7D29D}"/>
  </bookViews>
  <sheets>
    <sheet name="Client Calculation" sheetId="1" r:id="rId1"/>
    <sheet name="Instruction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P5" i="1" s="1"/>
  <c r="N8" i="1"/>
  <c r="I8" i="1"/>
  <c r="P8" i="1" s="1"/>
  <c r="H8" i="1"/>
  <c r="N5" i="1"/>
  <c r="H5" i="1"/>
  <c r="F12" i="1" l="1"/>
  <c r="H12" i="1" s="1"/>
  <c r="E12" i="1"/>
  <c r="G12" i="1" s="1"/>
  <c r="J8" i="1"/>
  <c r="Q8" i="1" s="1"/>
  <c r="F13" i="1" s="1"/>
  <c r="J5" i="1"/>
  <c r="Q5" i="1" s="1"/>
  <c r="H13" i="1" l="1"/>
  <c r="J13" i="1" s="1"/>
  <c r="L13" i="1" s="1"/>
  <c r="E13" i="1"/>
  <c r="J12" i="1"/>
  <c r="G13" i="1" l="1"/>
  <c r="I13" i="1" s="1"/>
  <c r="K13" i="1" s="1"/>
  <c r="E14" i="1"/>
  <c r="E16" i="1" s="1"/>
  <c r="G16" i="1" s="1"/>
  <c r="I16" i="1" s="1"/>
  <c r="K16" i="1" s="1"/>
  <c r="F14" i="1"/>
  <c r="L12" i="1"/>
  <c r="I12" i="1"/>
  <c r="F15" i="1" l="1"/>
  <c r="H15" i="1" s="1"/>
  <c r="J15" i="1" s="1"/>
  <c r="L15" i="1" s="1"/>
  <c r="E24" i="1"/>
  <c r="G24" i="1" s="1"/>
  <c r="I24" i="1" s="1"/>
  <c r="L24" i="1" s="1"/>
  <c r="H14" i="1"/>
  <c r="L14" i="1"/>
  <c r="J14" i="1"/>
  <c r="G14" i="1"/>
  <c r="E15" i="1"/>
  <c r="G15" i="1" s="1"/>
  <c r="I15" i="1" s="1"/>
  <c r="K15" i="1" s="1"/>
  <c r="F16" i="1"/>
  <c r="H16" i="1" s="1"/>
  <c r="J16" i="1" s="1"/>
  <c r="L16" i="1" s="1"/>
  <c r="K12" i="1"/>
  <c r="K14" i="1" l="1"/>
  <c r="I14" i="1"/>
</calcChain>
</file>

<file path=xl/sharedStrings.xml><?xml version="1.0" encoding="utf-8"?>
<sst xmlns="http://schemas.openxmlformats.org/spreadsheetml/2006/main" count="74" uniqueCount="47">
  <si>
    <t>Feed GPM</t>
  </si>
  <si>
    <t>Feed % solids</t>
  </si>
  <si>
    <t>Total Gallons</t>
  </si>
  <si>
    <t>dry tons/hour</t>
  </si>
  <si>
    <t>wet tons/hour</t>
  </si>
  <si>
    <t>polymer %</t>
  </si>
  <si>
    <t>polymer GPM</t>
  </si>
  <si>
    <t>polymer lbs/DT</t>
  </si>
  <si>
    <t>cake %</t>
  </si>
  <si>
    <t>total DT</t>
  </si>
  <si>
    <t>Total WT</t>
  </si>
  <si>
    <t>number of units</t>
  </si>
  <si>
    <t>unit type</t>
  </si>
  <si>
    <t>lb</t>
  </si>
  <si>
    <t>wet ton</t>
  </si>
  <si>
    <t>unit price</t>
  </si>
  <si>
    <t>total cost</t>
  </si>
  <si>
    <t>total cost per wet ton</t>
  </si>
  <si>
    <t>total cost per dry ton</t>
  </si>
  <si>
    <t>Savings</t>
  </si>
  <si>
    <t>Daily</t>
  </si>
  <si>
    <t>Weekly</t>
  </si>
  <si>
    <t>Monthly</t>
  </si>
  <si>
    <t>Yearly</t>
  </si>
  <si>
    <t>Run time per day</t>
  </si>
  <si>
    <t>Days per week</t>
  </si>
  <si>
    <t>Clean Waters</t>
  </si>
  <si>
    <t>Competitor</t>
  </si>
  <si>
    <t>Polymer cost/lb</t>
  </si>
  <si>
    <t xml:space="preserve"> Competitor</t>
  </si>
  <si>
    <t>The polymer comparator is an easy to use calculator that will allow you to quickly compare polymers and determine the least expensive product to use.</t>
  </si>
  <si>
    <t>Enter the number of dewatering units you run i.e. belt press, centerfuge, screw press, etc.</t>
  </si>
  <si>
    <t>Enter the number of hours that you run per day.</t>
  </si>
  <si>
    <t>Enter the number of day per week that you run.</t>
  </si>
  <si>
    <t>Enter the gallons per minute of biosolids that you feed to your dewatering unit.</t>
  </si>
  <si>
    <t>Enter the %solids contained in the biosolids feed.</t>
  </si>
  <si>
    <t>Enter the %polymer solution that you feed.  This can be determined by dividing the amount of neat polymer that you feed per hour by the gallons of dilution water fed per hour.</t>
  </si>
  <si>
    <t>Enter the gallons per minute of polymer solution fed to the dewatering unit.</t>
  </si>
  <si>
    <t>Enter the polymer cost per pound.</t>
  </si>
  <si>
    <t>Enter the %cake solids generated from the dewatering unit.</t>
  </si>
  <si>
    <t>This will calculate the total cost of use for each polymer and determine which product will be the most cost effective to use.</t>
  </si>
  <si>
    <t>If you have any questions, or need help using this calculator, call Steve Wardell 315-778-5218 or email stevewardell@cleanwaters.us</t>
  </si>
  <si>
    <t>Finally, enter the cost that you are paying per wet ton of biosolids disposal in the red box.</t>
  </si>
  <si>
    <t>Enter the following information in the lite blue and green boxes.  The dark blue boxes are formulas and cannot be changed.</t>
  </si>
  <si>
    <t>The calculator is already populated from a polymer test that we ran at a clients facility for an example.</t>
  </si>
  <si>
    <t>Clean Waters Polymer Cost Comparator Instructions</t>
  </si>
  <si>
    <t>TIP: Enter the best performing polymer data in the first row.  This will show how much money that you will save by using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</si>
</sst>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i/>
      <sz val="36"/>
      <color rgb="FF00B0F0"/>
      <name val="Calibri Light"/>
      <family val="2"/>
      <scheme val="maj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44" fontId="0" fillId="0" borderId="0" xfId="2" applyFont="1"/>
    <xf numFmtId="0" fontId="2" fillId="4" borderId="16" xfId="0" applyFont="1" applyFill="1" applyBorder="1" applyAlignment="1">
      <alignment horizontal="center" wrapText="1"/>
    </xf>
    <xf numFmtId="44" fontId="0" fillId="3" borderId="9" xfId="0" applyNumberFormat="1" applyFill="1" applyBorder="1"/>
    <xf numFmtId="44" fontId="0" fillId="3" borderId="11" xfId="2" applyFont="1" applyFill="1" applyBorder="1"/>
    <xf numFmtId="0" fontId="2" fillId="4" borderId="4" xfId="0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44" fontId="0" fillId="3" borderId="17" xfId="2" applyFont="1" applyFill="1" applyBorder="1"/>
    <xf numFmtId="44" fontId="0" fillId="3" borderId="19" xfId="0" applyNumberFormat="1" applyFill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44" fontId="0" fillId="3" borderId="18" xfId="0" applyNumberFormat="1" applyFill="1" applyBorder="1"/>
    <xf numFmtId="44" fontId="0" fillId="3" borderId="14" xfId="0" applyNumberFormat="1" applyFill="1" applyBorder="1"/>
    <xf numFmtId="0" fontId="8" fillId="0" borderId="10" xfId="0" applyFont="1" applyBorder="1"/>
    <xf numFmtId="0" fontId="8" fillId="0" borderId="0" xfId="0" applyFont="1"/>
    <xf numFmtId="0" fontId="8" fillId="0" borderId="1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4" fontId="7" fillId="0" borderId="0" xfId="0" applyNumberFormat="1" applyFont="1"/>
    <xf numFmtId="0" fontId="0" fillId="0" borderId="20" xfId="0" applyBorder="1"/>
    <xf numFmtId="0" fontId="3" fillId="2" borderId="2" xfId="0" applyFont="1" applyFill="1" applyBorder="1" applyAlignment="1">
      <alignment horizontal="center" wrapText="1"/>
    </xf>
    <xf numFmtId="10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0" fontId="8" fillId="5" borderId="6" xfId="3" applyNumberFormat="1" applyFont="1" applyFill="1" applyBorder="1" applyAlignment="1">
      <alignment horizontal="center"/>
    </xf>
    <xf numFmtId="165" fontId="8" fillId="5" borderId="6" xfId="0" applyNumberFormat="1" applyFont="1" applyFill="1" applyBorder="1" applyAlignment="1">
      <alignment horizontal="center"/>
    </xf>
    <xf numFmtId="44" fontId="8" fillId="5" borderId="6" xfId="2" applyFont="1" applyFill="1" applyBorder="1" applyAlignment="1">
      <alignment horizontal="center"/>
    </xf>
    <xf numFmtId="10" fontId="8" fillId="5" borderId="6" xfId="3" applyNumberFormat="1" applyFont="1" applyFill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4" fontId="7" fillId="3" borderId="9" xfId="0" applyNumberFormat="1" applyFont="1" applyFill="1" applyBorder="1" applyAlignment="1">
      <alignment horizontal="center" vertical="center"/>
    </xf>
    <xf numFmtId="44" fontId="7" fillId="3" borderId="1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4" fontId="7" fillId="3" borderId="19" xfId="0" applyNumberFormat="1" applyFont="1" applyFill="1" applyBorder="1" applyAlignment="1">
      <alignment horizontal="center" vertical="center"/>
    </xf>
    <xf numFmtId="44" fontId="7" fillId="3" borderId="18" xfId="0" applyNumberFormat="1" applyFont="1" applyFill="1" applyBorder="1" applyAlignment="1">
      <alignment horizontal="center" vertical="center"/>
    </xf>
    <xf numFmtId="44" fontId="7" fillId="3" borderId="8" xfId="0" applyNumberFormat="1" applyFont="1" applyFill="1" applyBorder="1" applyAlignment="1">
      <alignment horizontal="center"/>
    </xf>
    <xf numFmtId="44" fontId="7" fillId="3" borderId="20" xfId="0" applyNumberFormat="1" applyFont="1" applyFill="1" applyBorder="1" applyAlignment="1">
      <alignment horizontal="center"/>
    </xf>
    <xf numFmtId="44" fontId="7" fillId="3" borderId="9" xfId="0" applyNumberFormat="1" applyFont="1" applyFill="1" applyBorder="1" applyAlignment="1">
      <alignment horizontal="center"/>
    </xf>
    <xf numFmtId="44" fontId="7" fillId="3" borderId="12" xfId="0" applyNumberFormat="1" applyFont="1" applyFill="1" applyBorder="1" applyAlignment="1">
      <alignment horizontal="center"/>
    </xf>
    <xf numFmtId="44" fontId="7" fillId="3" borderId="13" xfId="0" applyNumberFormat="1" applyFont="1" applyFill="1" applyBorder="1" applyAlignment="1">
      <alignment horizontal="center"/>
    </xf>
    <xf numFmtId="44" fontId="7" fillId="3" borderId="14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0" fontId="10" fillId="3" borderId="6" xfId="3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10" fontId="8" fillId="3" borderId="6" xfId="3" applyNumberFormat="1" applyFont="1" applyFill="1" applyBorder="1" applyAlignment="1">
      <alignment horizontal="center"/>
    </xf>
    <xf numFmtId="165" fontId="8" fillId="3" borderId="6" xfId="0" applyNumberFormat="1" applyFont="1" applyFill="1" applyBorder="1" applyAlignment="1">
      <alignment horizontal="center"/>
    </xf>
    <xf numFmtId="44" fontId="8" fillId="3" borderId="6" xfId="2" applyFont="1" applyFill="1" applyBorder="1" applyAlignment="1">
      <alignment horizontal="center"/>
    </xf>
    <xf numFmtId="10" fontId="8" fillId="3" borderId="6" xfId="3" applyNumberFormat="1" applyFont="1" applyFill="1" applyBorder="1"/>
    <xf numFmtId="2" fontId="8" fillId="6" borderId="7" xfId="0" applyNumberFormat="1" applyFont="1" applyFill="1" applyBorder="1" applyAlignment="1">
      <alignment horizontal="center"/>
    </xf>
    <xf numFmtId="164" fontId="10" fillId="7" borderId="6" xfId="4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44" fontId="2" fillId="8" borderId="17" xfId="2" applyFont="1" applyFill="1" applyBorder="1"/>
    <xf numFmtId="0" fontId="12" fillId="0" borderId="0" xfId="0" applyFont="1"/>
  </cellXfs>
  <cellStyles count="5">
    <cellStyle name="Accent5" xfId="4" builtinId="45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'Client Calculation'!#REF!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'Client Calculation'!#REF!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'Client Calculation'!#REF!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8C1-4F0C-9253-CFBFD1474FD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'Client Calculation'!#REF!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'Client Calculation'!#REF!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'Client Calculation'!#REF!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8C1-4F0C-9253-CFBFD147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545608"/>
        <c:axId val="343546264"/>
        <c:axId val="0"/>
      </c:bar3DChart>
      <c:catAx>
        <c:axId val="34354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546264"/>
        <c:crosses val="autoZero"/>
        <c:auto val="1"/>
        <c:lblAlgn val="ctr"/>
        <c:lblOffset val="100"/>
        <c:noMultiLvlLbl val="0"/>
      </c:catAx>
      <c:valAx>
        <c:axId val="34354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54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542925</xdr:colOff>
      <xdr:row>52</xdr:row>
      <xdr:rowOff>34925</xdr:rowOff>
    </xdr:from>
    <xdr:to>
      <xdr:col>23</xdr:col>
      <xdr:colOff>60325</xdr:colOff>
      <xdr:row>67</xdr:row>
      <xdr:rowOff>15875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4D203A9-18C8-4D96-B58B-F307759C9F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240195</xdr:colOff>
      <xdr:row>0</xdr:row>
      <xdr:rowOff>74544</xdr:rowOff>
    </xdr:from>
    <xdr:to>
      <xdr:col>4</xdr:col>
      <xdr:colOff>1196007</xdr:colOff>
      <xdr:row>2</xdr:row>
      <xdr:rowOff>1266080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9DA1D-E60D-8423-1BE0-1D5424B76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73" y="74544"/>
          <a:ext cx="3680791" cy="1555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48F2-D3C3-4F48-B6CA-3573753BFF4C}">
  <sheetPr>
    <pageSetUpPr fitToPage="1"/>
  </sheetPr>
  <dimension ref="B1:V25"/>
  <sheetViews>
    <sheetView showGridLines="0" tabSelected="1" topLeftCell="B9" zoomScale="115" zoomScaleNormal="115" workbookViewId="0">
      <selection activeCell="B20" sqref="B20"/>
    </sheetView>
  </sheetViews>
  <sheetFormatPr defaultColWidth="8.796875" defaultRowHeight="14.25" x14ac:dyDescent="0.45"/>
  <cols>
    <col min="2" max="2" width="17.6640625" customWidth="1"/>
    <col min="3" max="3" width="10.796875" customWidth="1"/>
    <col min="4" max="4" width="9.6640625" customWidth="1"/>
    <col min="5" max="5" width="19.1328125" customWidth="1"/>
    <col min="6" max="6" width="15.46484375" customWidth="1"/>
    <col min="7" max="7" width="16.46484375" customWidth="1"/>
    <col min="8" max="8" width="12.796875" customWidth="1"/>
    <col min="9" max="9" width="15.1328125" customWidth="1"/>
    <col min="10" max="10" width="13" customWidth="1"/>
    <col min="11" max="11" width="14.6640625" customWidth="1"/>
    <col min="12" max="12" width="15.33203125" customWidth="1"/>
    <col min="13" max="13" width="14" customWidth="1"/>
    <col min="14" max="14" width="11.46484375" customWidth="1"/>
    <col min="15" max="15" width="10" customWidth="1"/>
    <col min="18" max="18" width="9.6640625" customWidth="1"/>
    <col min="19" max="19" width="10.1328125" customWidth="1"/>
    <col min="20" max="20" width="11.1328125" customWidth="1"/>
    <col min="21" max="21" width="14" customWidth="1"/>
    <col min="22" max="22" width="12" customWidth="1"/>
    <col min="23" max="23" width="11.6640625" customWidth="1"/>
    <col min="24" max="24" width="11.796875" customWidth="1"/>
    <col min="25" max="25" width="12.33203125" customWidth="1"/>
    <col min="26" max="26" width="13.46484375" customWidth="1"/>
    <col min="27" max="27" width="12.6640625" customWidth="1"/>
  </cols>
  <sheetData>
    <row r="1" spans="2:22" x14ac:dyDescent="0.45"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22" x14ac:dyDescent="0.45"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22" ht="107" customHeight="1" thickBot="1" x14ac:dyDescent="0.5"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2:22" s="24" customFormat="1" ht="38" customHeight="1" thickBot="1" x14ac:dyDescent="0.5">
      <c r="B4" s="78" t="s">
        <v>26</v>
      </c>
      <c r="C4" s="19" t="s">
        <v>11</v>
      </c>
      <c r="D4" s="20" t="s">
        <v>24</v>
      </c>
      <c r="E4" s="20" t="s">
        <v>25</v>
      </c>
      <c r="F4" s="20" t="s">
        <v>0</v>
      </c>
      <c r="G4" s="21" t="s">
        <v>1</v>
      </c>
      <c r="H4" s="22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28</v>
      </c>
      <c r="N4" s="20" t="s">
        <v>7</v>
      </c>
      <c r="O4" s="20" t="s">
        <v>8</v>
      </c>
      <c r="P4" s="20" t="s">
        <v>9</v>
      </c>
      <c r="Q4" s="23" t="s">
        <v>10</v>
      </c>
      <c r="S4" s="25"/>
      <c r="T4" s="25"/>
      <c r="U4" s="25"/>
      <c r="V4" s="25"/>
    </row>
    <row r="5" spans="2:22" s="13" customFormat="1" ht="41" customHeight="1" thickBot="1" x14ac:dyDescent="0.6">
      <c r="B5" s="46"/>
      <c r="C5" s="67">
        <v>2</v>
      </c>
      <c r="D5" s="68">
        <v>7</v>
      </c>
      <c r="E5" s="68">
        <v>5</v>
      </c>
      <c r="F5" s="68">
        <v>75</v>
      </c>
      <c r="G5" s="69">
        <v>0.02</v>
      </c>
      <c r="H5" s="70">
        <f>F5*60*D5*C5</f>
        <v>63000</v>
      </c>
      <c r="I5" s="71">
        <f>(((F5*60)*8.3)*G5)/2000</f>
        <v>0.3735</v>
      </c>
      <c r="J5" s="71">
        <f>(I5/O5)</f>
        <v>1.8674999999999999</v>
      </c>
      <c r="K5" s="72">
        <v>5.0000000000000001E-3</v>
      </c>
      <c r="L5" s="73">
        <v>9.1999999999999993</v>
      </c>
      <c r="M5" s="74">
        <v>2.25</v>
      </c>
      <c r="N5" s="71">
        <f>(L5/F5)*(K5/G5)*2000</f>
        <v>61.333333333333329</v>
      </c>
      <c r="O5" s="75">
        <v>0.2</v>
      </c>
      <c r="P5" s="71">
        <f>I5*D5*C5</f>
        <v>5.2290000000000001</v>
      </c>
      <c r="Q5" s="76">
        <f>J5*D5*C5</f>
        <v>26.145</v>
      </c>
    </row>
    <row r="6" spans="2:22" ht="4.05" customHeight="1" thickBot="1" x14ac:dyDescent="0.6"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2:22" s="33" customFormat="1" ht="34.049999999999997" customHeight="1" thickBot="1" x14ac:dyDescent="0.6">
      <c r="B7" s="47" t="s">
        <v>29</v>
      </c>
      <c r="C7" s="19" t="s">
        <v>11</v>
      </c>
      <c r="D7" s="20" t="s">
        <v>24</v>
      </c>
      <c r="E7" s="29" t="s">
        <v>25</v>
      </c>
      <c r="F7" s="29" t="s">
        <v>0</v>
      </c>
      <c r="G7" s="30" t="s">
        <v>1</v>
      </c>
      <c r="H7" s="31" t="s">
        <v>2</v>
      </c>
      <c r="I7" s="29" t="s">
        <v>3</v>
      </c>
      <c r="J7" s="29" t="s">
        <v>4</v>
      </c>
      <c r="K7" s="29" t="s">
        <v>5</v>
      </c>
      <c r="L7" s="29" t="s">
        <v>6</v>
      </c>
      <c r="M7" s="29" t="s">
        <v>28</v>
      </c>
      <c r="N7" s="29" t="s">
        <v>7</v>
      </c>
      <c r="O7" s="29" t="s">
        <v>8</v>
      </c>
      <c r="P7" s="29" t="s">
        <v>9</v>
      </c>
      <c r="Q7" s="32" t="s">
        <v>10</v>
      </c>
    </row>
    <row r="8" spans="2:22" s="17" customFormat="1" ht="35" customHeight="1" thickBot="1" x14ac:dyDescent="0.6">
      <c r="B8" s="48"/>
      <c r="C8" s="34">
        <v>2</v>
      </c>
      <c r="D8" s="35">
        <v>7</v>
      </c>
      <c r="E8" s="35">
        <v>5</v>
      </c>
      <c r="F8" s="35">
        <v>75</v>
      </c>
      <c r="G8" s="36">
        <v>0.02</v>
      </c>
      <c r="H8" s="77">
        <f>F8*60*D8*C8</f>
        <v>63000</v>
      </c>
      <c r="I8" s="71">
        <f>(((F8*60)*8.3)*G8)/2000</f>
        <v>0.3735</v>
      </c>
      <c r="J8" s="71">
        <f>(I8/O8)</f>
        <v>1.970976253298153</v>
      </c>
      <c r="K8" s="36">
        <v>5.0000000000000001E-3</v>
      </c>
      <c r="L8" s="37">
        <v>10</v>
      </c>
      <c r="M8" s="38">
        <v>1.76</v>
      </c>
      <c r="N8" s="71">
        <f>(L8/F8)*(K8/G8)*2000</f>
        <v>66.666666666666671</v>
      </c>
      <c r="O8" s="39">
        <v>0.1895</v>
      </c>
      <c r="P8" s="71">
        <f>I8*D8*C8</f>
        <v>5.2290000000000001</v>
      </c>
      <c r="Q8" s="76">
        <f>J8*D8*C8</f>
        <v>27.593667546174142</v>
      </c>
    </row>
    <row r="9" spans="2:22" ht="14.65" thickBot="1" x14ac:dyDescent="0.5"/>
    <row r="10" spans="2:22" ht="14.65" thickBot="1" x14ac:dyDescent="0.5">
      <c r="E10" s="40" t="s">
        <v>20</v>
      </c>
      <c r="F10" s="41"/>
      <c r="G10" s="40" t="s">
        <v>21</v>
      </c>
      <c r="H10" s="41"/>
      <c r="I10" s="40" t="s">
        <v>22</v>
      </c>
      <c r="J10" s="41"/>
      <c r="K10" s="40" t="s">
        <v>23</v>
      </c>
      <c r="L10" s="41"/>
    </row>
    <row r="11" spans="2:22" s="1" customFormat="1" ht="43.5" customHeight="1" thickBot="1" x14ac:dyDescent="0.5">
      <c r="C11" s="7" t="s">
        <v>12</v>
      </c>
      <c r="D11" s="7" t="s">
        <v>15</v>
      </c>
      <c r="E11" s="7" t="s">
        <v>26</v>
      </c>
      <c r="F11" s="4" t="s">
        <v>27</v>
      </c>
      <c r="G11" s="7" t="s">
        <v>26</v>
      </c>
      <c r="H11" s="4" t="s">
        <v>27</v>
      </c>
      <c r="I11" s="7" t="s">
        <v>26</v>
      </c>
      <c r="J11" s="4" t="s">
        <v>27</v>
      </c>
      <c r="K11" s="7" t="s">
        <v>26</v>
      </c>
      <c r="L11" s="4" t="s">
        <v>27</v>
      </c>
      <c r="M11" s="2"/>
      <c r="N11" s="2"/>
    </row>
    <row r="12" spans="2:22" x14ac:dyDescent="0.45">
      <c r="C12" s="8" t="s">
        <v>13</v>
      </c>
      <c r="D12" s="9"/>
      <c r="E12" s="9">
        <f>N5*P5*M5</f>
        <v>721.60199999999998</v>
      </c>
      <c r="F12" s="6">
        <f>M8*N8*P8</f>
        <v>613.53600000000006</v>
      </c>
      <c r="G12" s="9">
        <f>E12*E5</f>
        <v>3608.0099999999998</v>
      </c>
      <c r="H12" s="6">
        <f>F12*E5</f>
        <v>3067.6800000000003</v>
      </c>
      <c r="I12" s="9">
        <f t="shared" ref="I12:J13" si="0">G12*4</f>
        <v>14432.039999999999</v>
      </c>
      <c r="J12" s="6">
        <f t="shared" si="0"/>
        <v>12270.720000000001</v>
      </c>
      <c r="K12" s="9">
        <f>+I12*12</f>
        <v>173184.47999999998</v>
      </c>
      <c r="L12" s="6">
        <f>J12*12</f>
        <v>147248.64000000001</v>
      </c>
      <c r="M12" s="3"/>
      <c r="N12" s="3"/>
    </row>
    <row r="13" spans="2:22" ht="14.65" thickBot="1" x14ac:dyDescent="0.5">
      <c r="C13" s="8" t="s">
        <v>14</v>
      </c>
      <c r="D13" s="80">
        <v>90</v>
      </c>
      <c r="E13" s="9">
        <f>D13*Q5</f>
        <v>2353.0500000000002</v>
      </c>
      <c r="F13" s="6">
        <f>D13*Q8</f>
        <v>2483.430079155673</v>
      </c>
      <c r="G13" s="9">
        <f>E13*E5</f>
        <v>11765.25</v>
      </c>
      <c r="H13" s="6">
        <f>F13*E5</f>
        <v>12417.150395778364</v>
      </c>
      <c r="I13" s="9">
        <f t="shared" si="0"/>
        <v>47061</v>
      </c>
      <c r="J13" s="6">
        <f t="shared" si="0"/>
        <v>49668.601583113457</v>
      </c>
      <c r="K13" s="9">
        <f>I13*12</f>
        <v>564732</v>
      </c>
      <c r="L13" s="6">
        <f>J13*12</f>
        <v>596023.21899736149</v>
      </c>
      <c r="M13" s="3"/>
      <c r="N13" s="3"/>
    </row>
    <row r="14" spans="2:22" ht="14.65" thickBot="1" x14ac:dyDescent="0.5">
      <c r="C14" s="63" t="s">
        <v>16</v>
      </c>
      <c r="D14" s="64"/>
      <c r="E14" s="10">
        <f t="shared" ref="E14:L14" si="1">SUM(E12:E13)</f>
        <v>3074.652</v>
      </c>
      <c r="F14" s="5">
        <f t="shared" si="1"/>
        <v>3096.966079155673</v>
      </c>
      <c r="G14" s="10">
        <f t="shared" si="1"/>
        <v>15373.26</v>
      </c>
      <c r="H14" s="5">
        <f t="shared" si="1"/>
        <v>15484.830395778365</v>
      </c>
      <c r="I14" s="10">
        <f t="shared" si="1"/>
        <v>61493.04</v>
      </c>
      <c r="J14" s="5">
        <f t="shared" si="1"/>
        <v>61939.321583113458</v>
      </c>
      <c r="K14" s="10">
        <f t="shared" si="1"/>
        <v>737916.48</v>
      </c>
      <c r="L14" s="5">
        <f t="shared" si="1"/>
        <v>743271.8589973615</v>
      </c>
    </row>
    <row r="15" spans="2:22" x14ac:dyDescent="0.45">
      <c r="C15" s="63" t="s">
        <v>18</v>
      </c>
      <c r="D15" s="64"/>
      <c r="E15" s="10">
        <f>E14/P5</f>
        <v>588</v>
      </c>
      <c r="F15" s="5">
        <f>F14/P8</f>
        <v>592.26737027264733</v>
      </c>
      <c r="G15" s="10">
        <f t="shared" ref="G15:J16" si="2">E15</f>
        <v>588</v>
      </c>
      <c r="H15" s="5">
        <f t="shared" si="2"/>
        <v>592.26737027264733</v>
      </c>
      <c r="I15" s="10">
        <f t="shared" si="2"/>
        <v>588</v>
      </c>
      <c r="J15" s="5">
        <f t="shared" si="2"/>
        <v>592.26737027264733</v>
      </c>
      <c r="K15" s="10">
        <f>I15</f>
        <v>588</v>
      </c>
      <c r="L15" s="5">
        <f>J15</f>
        <v>592.26737027264733</v>
      </c>
    </row>
    <row r="16" spans="2:22" ht="14.65" thickBot="1" x14ac:dyDescent="0.5">
      <c r="C16" s="65" t="s">
        <v>17</v>
      </c>
      <c r="D16" s="66"/>
      <c r="E16" s="14">
        <f>E14/Q5</f>
        <v>117.60000000000001</v>
      </c>
      <c r="F16" s="15">
        <f>F14/Q5</f>
        <v>118.45347405452948</v>
      </c>
      <c r="G16" s="14">
        <f t="shared" si="2"/>
        <v>117.60000000000001</v>
      </c>
      <c r="H16" s="15">
        <f t="shared" si="2"/>
        <v>118.45347405452948</v>
      </c>
      <c r="I16" s="14">
        <f t="shared" si="2"/>
        <v>117.60000000000001</v>
      </c>
      <c r="J16" s="15">
        <f t="shared" si="2"/>
        <v>118.45347405452948</v>
      </c>
      <c r="K16" s="14">
        <f>I16</f>
        <v>117.60000000000001</v>
      </c>
      <c r="L16" s="15">
        <f>J16</f>
        <v>118.45347405452948</v>
      </c>
    </row>
    <row r="17" spans="3:14" x14ac:dyDescent="0.45"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9" spans="3:14" x14ac:dyDescent="0.45">
      <c r="F19" s="79"/>
      <c r="G19" s="79"/>
    </row>
    <row r="20" spans="3:14" ht="48" customHeight="1" x14ac:dyDescent="0.75">
      <c r="E20" s="81" t="s">
        <v>19</v>
      </c>
      <c r="F20" s="79"/>
      <c r="G20" s="79"/>
    </row>
    <row r="21" spans="3:14" s="11" customFormat="1" ht="16.05" customHeight="1" x14ac:dyDescent="0.5">
      <c r="C21" s="42" t="s">
        <v>20</v>
      </c>
      <c r="D21" s="42"/>
      <c r="E21" s="42"/>
      <c r="F21" s="12"/>
      <c r="G21" s="42" t="s">
        <v>21</v>
      </c>
      <c r="H21" s="12"/>
      <c r="I21" s="42" t="s">
        <v>22</v>
      </c>
      <c r="J21" s="42"/>
      <c r="L21" s="42" t="s">
        <v>23</v>
      </c>
      <c r="M21" s="42"/>
      <c r="N21" s="42"/>
    </row>
    <row r="22" spans="3:14" ht="15" customHeight="1" x14ac:dyDescent="0.45">
      <c r="C22" s="42"/>
      <c r="D22" s="42"/>
      <c r="E22" s="42"/>
      <c r="G22" s="42"/>
      <c r="I22" s="42"/>
      <c r="J22" s="42"/>
      <c r="K22" s="26"/>
      <c r="L22" s="42"/>
      <c r="M22" s="42"/>
      <c r="N22" s="42"/>
    </row>
    <row r="23" spans="3:14" ht="16.05" customHeight="1" thickBot="1" x14ac:dyDescent="0.5">
      <c r="C23" s="43"/>
      <c r="D23" s="43"/>
      <c r="E23" s="43"/>
      <c r="G23" s="43"/>
      <c r="I23" s="43"/>
      <c r="J23" s="43"/>
      <c r="K23" s="26"/>
      <c r="L23" s="42"/>
      <c r="M23" s="42"/>
      <c r="N23" s="42"/>
    </row>
    <row r="24" spans="3:14" ht="17" customHeight="1" x14ac:dyDescent="0.85">
      <c r="C24" s="51" t="s">
        <v>19</v>
      </c>
      <c r="D24" s="52"/>
      <c r="E24" s="49">
        <f>F14-E14</f>
        <v>22.314079155672971</v>
      </c>
      <c r="G24" s="55">
        <f>E24*E5</f>
        <v>111.57039577836485</v>
      </c>
      <c r="I24" s="57">
        <f>G24*4</f>
        <v>446.28158311345942</v>
      </c>
      <c r="J24" s="59"/>
      <c r="K24" s="27"/>
      <c r="L24" s="57">
        <f>I24*52</f>
        <v>23206.64232189989</v>
      </c>
      <c r="M24" s="58"/>
      <c r="N24" s="59"/>
    </row>
    <row r="25" spans="3:14" ht="15" customHeight="1" thickBot="1" x14ac:dyDescent="0.9">
      <c r="C25" s="53"/>
      <c r="D25" s="54"/>
      <c r="E25" s="50"/>
      <c r="G25" s="56"/>
      <c r="I25" s="60"/>
      <c r="J25" s="62"/>
      <c r="K25" s="27"/>
      <c r="L25" s="60"/>
      <c r="M25" s="61"/>
      <c r="N25" s="62"/>
    </row>
  </sheetData>
  <mergeCells count="21">
    <mergeCell ref="C1:D3"/>
    <mergeCell ref="E1:S3"/>
    <mergeCell ref="B4:B5"/>
    <mergeCell ref="B7:B8"/>
    <mergeCell ref="E24:E25"/>
    <mergeCell ref="C24:D25"/>
    <mergeCell ref="G24:G25"/>
    <mergeCell ref="C21:E23"/>
    <mergeCell ref="G21:G23"/>
    <mergeCell ref="L24:N25"/>
    <mergeCell ref="I24:J25"/>
    <mergeCell ref="I10:J10"/>
    <mergeCell ref="K10:L10"/>
    <mergeCell ref="C14:D14"/>
    <mergeCell ref="C15:D15"/>
    <mergeCell ref="C16:D16"/>
    <mergeCell ref="E10:F10"/>
    <mergeCell ref="G10:H10"/>
    <mergeCell ref="L21:N23"/>
    <mergeCell ref="I21:J23"/>
    <mergeCell ref="F19:G20"/>
  </mergeCells>
  <pageMargins left="0.7" right="0.7" top="0.75" bottom="0.75" header="0.3" footer="0.3"/>
  <pageSetup paperSize="8" scale="6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7A16-2AD1-4432-AFDB-C0A687DE0334}">
  <dimension ref="A1:A24"/>
  <sheetViews>
    <sheetView workbookViewId="0">
      <selection activeCell="A24" sqref="A24"/>
    </sheetView>
  </sheetViews>
  <sheetFormatPr defaultRowHeight="14.25" x14ac:dyDescent="0.45"/>
  <sheetData>
    <row r="1" spans="1:1" x14ac:dyDescent="0.45">
      <c r="A1" t="s">
        <v>45</v>
      </c>
    </row>
    <row r="3" spans="1:1" x14ac:dyDescent="0.45">
      <c r="A3" t="s">
        <v>30</v>
      </c>
    </row>
    <row r="5" spans="1:1" x14ac:dyDescent="0.45">
      <c r="A5" t="s">
        <v>44</v>
      </c>
    </row>
    <row r="7" spans="1:1" x14ac:dyDescent="0.45">
      <c r="A7" t="s">
        <v>43</v>
      </c>
    </row>
    <row r="9" spans="1:1" x14ac:dyDescent="0.45">
      <c r="A9" t="s">
        <v>31</v>
      </c>
    </row>
    <row r="10" spans="1:1" x14ac:dyDescent="0.45">
      <c r="A10" t="s">
        <v>32</v>
      </c>
    </row>
    <row r="11" spans="1:1" x14ac:dyDescent="0.45">
      <c r="A11" t="s">
        <v>33</v>
      </c>
    </row>
    <row r="12" spans="1:1" x14ac:dyDescent="0.45">
      <c r="A12" t="s">
        <v>34</v>
      </c>
    </row>
    <row r="13" spans="1:1" x14ac:dyDescent="0.45">
      <c r="A13" t="s">
        <v>35</v>
      </c>
    </row>
    <row r="14" spans="1:1" x14ac:dyDescent="0.45">
      <c r="A14" t="s">
        <v>36</v>
      </c>
    </row>
    <row r="15" spans="1:1" x14ac:dyDescent="0.45">
      <c r="A15" t="s">
        <v>37</v>
      </c>
    </row>
    <row r="16" spans="1:1" x14ac:dyDescent="0.45">
      <c r="A16" t="s">
        <v>38</v>
      </c>
    </row>
    <row r="17" spans="1:1" x14ac:dyDescent="0.45">
      <c r="A17" t="s">
        <v>39</v>
      </c>
    </row>
    <row r="18" spans="1:1" x14ac:dyDescent="0.45">
      <c r="A18" t="s">
        <v>42</v>
      </c>
    </row>
    <row r="20" spans="1:1" x14ac:dyDescent="0.45">
      <c r="A20" t="s">
        <v>40</v>
      </c>
    </row>
    <row r="22" spans="1:1" x14ac:dyDescent="0.45">
      <c r="A22" t="s">
        <v>41</v>
      </c>
    </row>
    <row r="24" spans="1:1" x14ac:dyDescent="0.45">
      <c r="A2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Client Calculation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Leblanc</dc:creator>
  <cp:lastModifiedBy>Steve Wardell</cp:lastModifiedBy>
  <cp:lastPrinted>2021-02-16T18:03:37Z</cp:lastPrinted>
  <dcterms:created xsi:type="dcterms:W3CDTF">2021-02-16T16:29:18Z</dcterms:created>
  <dcterms:modified xsi:type="dcterms:W3CDTF">2024-04-03T11:15:03Z</dcterms:modified>
</cp:coreProperties>
</file>